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User4\Desktop\kt\A\Miasto i Gmina Kamieńsk\gaz - II przetarg\"/>
    </mc:Choice>
  </mc:AlternateContent>
  <xr:revisionPtr revIDLastSave="0" documentId="10_ncr:8100000_{903D9AC9-E4C8-4780-B30F-7455F51FA112}" xr6:coauthVersionLast="34" xr6:coauthVersionMax="34" xr10:uidLastSave="{00000000-0000-0000-0000-000000000000}"/>
  <bookViews>
    <workbookView xWindow="360" yWindow="60" windowWidth="15312" windowHeight="9756" firstSheet="1" activeTab="1" xr2:uid="{00000000-000D-0000-FFFF-FFFF00000000}"/>
  </bookViews>
  <sheets>
    <sheet name="Zmiany" sheetId="9" state="hidden" r:id="rId1"/>
    <sheet name="Arkusz1" sheetId="24" r:id="rId2"/>
  </sheets>
  <calcPr calcId="162913"/>
</workbook>
</file>

<file path=xl/calcChain.xml><?xml version="1.0" encoding="utf-8"?>
<calcChain xmlns="http://schemas.openxmlformats.org/spreadsheetml/2006/main">
  <c r="K7" i="24" l="1"/>
  <c r="M7" i="24" s="1"/>
  <c r="Q7" i="24"/>
  <c r="K6" i="24"/>
  <c r="M6" i="24" s="1"/>
  <c r="K5" i="24"/>
  <c r="M5" i="24" s="1"/>
  <c r="Q5" i="24"/>
  <c r="A4" i="24"/>
  <c r="B4" i="24"/>
  <c r="C4" i="24"/>
  <c r="D4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O5" i="24" l="1"/>
  <c r="R5" i="24" s="1"/>
  <c r="S5" i="24" s="1"/>
  <c r="Q6" i="24"/>
  <c r="O7" i="24"/>
  <c r="R7" i="24" s="1"/>
  <c r="S7" i="24" s="1"/>
  <c r="T7" i="24" s="1"/>
  <c r="T5" i="24" l="1"/>
  <c r="O6" i="24"/>
  <c r="R6" i="24" s="1"/>
  <c r="S6" i="24" s="1"/>
  <c r="T6" i="24" s="1"/>
  <c r="T8" i="24" l="1"/>
  <c r="S8" i="24"/>
</calcChain>
</file>

<file path=xl/sharedStrings.xml><?xml version="1.0" encoding="utf-8"?>
<sst xmlns="http://schemas.openxmlformats.org/spreadsheetml/2006/main" count="100" uniqueCount="80">
  <si>
    <t>Zmiany w formatkach</t>
  </si>
  <si>
    <t>Zestawienie odbiorów</t>
  </si>
  <si>
    <t>18.02.2013</t>
  </si>
  <si>
    <t>- Formuła - okres objęty analizą
- formatowanie Calibri na kol "zalecana taryfa"</t>
  </si>
  <si>
    <t>zablokowana wartość na taryfie G jeżeli nie ma obiektów np: O31=JEŻELI(O18=0;0;……)</t>
  </si>
  <si>
    <t>19.02.2013</t>
  </si>
  <si>
    <t>-LP automatyczna</t>
  </si>
  <si>
    <t>- grupowania (+) na kwocie netto i latach nie objętych analizą
- formatowanie warunkowe do ostatniej tabeli</t>
  </si>
  <si>
    <t>poprawa formatowania warunkowego do ostatniej tabeli</t>
  </si>
  <si>
    <t>20.02.2013</t>
  </si>
  <si>
    <t>Adresowanie cen z "do pretacji" do analiza obrót</t>
  </si>
  <si>
    <t>12.03.2013</t>
  </si>
  <si>
    <t>raport zestawienia odbiorówi: bez nagłówków i przerw</t>
  </si>
  <si>
    <t>Kto wprowadzał zmiany</t>
  </si>
  <si>
    <t>Artur Stefaniak</t>
  </si>
  <si>
    <t>Krzysztof Targoński</t>
  </si>
  <si>
    <t>Naprawione błędne naliczanie kwot na taryfie G w: stawka opłaty przejściowej zł/mc/kw, składnik stały stawki sieciowej zł/kw/mc</t>
  </si>
  <si>
    <t>2013.10.09</t>
  </si>
  <si>
    <t>2014.01.08</t>
  </si>
  <si>
    <t>Nowa taryfa 2014</t>
  </si>
  <si>
    <t>Izabela Krawczyk</t>
  </si>
  <si>
    <t>2014.01.09</t>
  </si>
  <si>
    <t>2014.06.30</t>
  </si>
  <si>
    <t>Maciej Burmajster</t>
  </si>
  <si>
    <t>Analiza danych</t>
  </si>
  <si>
    <t>Poprawienie dat (teoretycznie)</t>
  </si>
  <si>
    <t>Załączniki</t>
  </si>
  <si>
    <t>Do prezentacji</t>
  </si>
  <si>
    <t>Analiza obrót</t>
  </si>
  <si>
    <t>Analiz dystr</t>
  </si>
  <si>
    <t>Przekroczenia mocy</t>
  </si>
  <si>
    <t>Energia bierna</t>
  </si>
  <si>
    <t>Dodanie oddziału dystrybucji</t>
  </si>
  <si>
    <t>Dodanie numeru NIP</t>
  </si>
  <si>
    <t>do zrobienia</t>
  </si>
  <si>
    <t>Zamienić PPE na nr licznika w generowanej liście</t>
  </si>
  <si>
    <t>Dodane kwoty brutto</t>
  </si>
  <si>
    <t>2014.07.03</t>
  </si>
  <si>
    <t>Korekta formuł</t>
  </si>
  <si>
    <t>2014.07.16</t>
  </si>
  <si>
    <t>Poprawienie zużyć dla taryf 3- i 4- strefowych</t>
  </si>
  <si>
    <t>Dodanie wyników %</t>
  </si>
  <si>
    <t>Poprawienie stawek dystr wg uwag z maili</t>
  </si>
  <si>
    <t>2014.07.29</t>
  </si>
  <si>
    <t>Do raportu</t>
  </si>
  <si>
    <t>Poprawka opisów tabel dla raportu %</t>
  </si>
  <si>
    <t>Korekta formuł i tekstów</t>
  </si>
  <si>
    <t>Analiza wyników (%)</t>
  </si>
  <si>
    <t>Załącznik nr 3 do SIWZ - Formularz cenowy</t>
  </si>
  <si>
    <t>Grupa taryfowa</t>
  </si>
  <si>
    <t>Liczba punktów poboru</t>
  </si>
  <si>
    <r>
      <t xml:space="preserve">Moc umowna
</t>
    </r>
    <r>
      <rPr>
        <sz val="9"/>
        <rFont val="Calibri"/>
        <family val="2"/>
        <charset val="238"/>
        <scheme val="minor"/>
      </rPr>
      <t>(kWh/h)</t>
    </r>
  </si>
  <si>
    <r>
      <rPr>
        <b/>
        <sz val="9"/>
        <rFont val="Calibri"/>
        <family val="2"/>
        <charset val="238"/>
        <scheme val="minor"/>
      </rPr>
      <t>Szacunkowe zapotrzebowanie na paliwo gazowe zwolnione 
z akcyzy</t>
    </r>
    <r>
      <rPr>
        <sz val="9"/>
        <rFont val="Calibri"/>
        <family val="2"/>
        <charset val="238"/>
        <scheme val="minor"/>
      </rPr>
      <t xml:space="preserve"> 
(kWh)</t>
    </r>
  </si>
  <si>
    <r>
      <rPr>
        <b/>
        <sz val="9"/>
        <rFont val="Calibri"/>
        <family val="2"/>
        <charset val="238"/>
        <scheme val="minor"/>
      </rPr>
      <t>Szacunkowe zapotrzebowanie na paliwo gazowe opodatkowane akcyzą 1,28 zł/GJ</t>
    </r>
    <r>
      <rPr>
        <sz val="9"/>
        <rFont val="Calibri"/>
        <family val="2"/>
        <charset val="238"/>
        <scheme val="minor"/>
      </rPr>
      <t xml:space="preserve">
(kWh)</t>
    </r>
  </si>
  <si>
    <r>
      <rPr>
        <b/>
        <sz val="9"/>
        <rFont val="Calibri"/>
        <family val="2"/>
        <charset val="238"/>
        <scheme val="minor"/>
      </rPr>
      <t>Szacunkowe zapotrzebowanie na paliwo gazowe łącznie</t>
    </r>
    <r>
      <rPr>
        <sz val="9"/>
        <rFont val="Calibri"/>
        <family val="2"/>
        <charset val="238"/>
        <scheme val="minor"/>
      </rPr>
      <t xml:space="preserve"> 
(kWh)</t>
    </r>
  </si>
  <si>
    <t>Liczba miesięcy</t>
  </si>
  <si>
    <t>Liczba dni</t>
  </si>
  <si>
    <t>Oddział dystrybucji</t>
  </si>
  <si>
    <t>Cena za gaz (zł netto)</t>
  </si>
  <si>
    <t>Cena za usługi dystrybucyjne (zł netto)</t>
  </si>
  <si>
    <t>CENA OFERTY 
(zł netto)</t>
  </si>
  <si>
    <t>CENA OFERTY 
(zł brutto)</t>
  </si>
  <si>
    <r>
      <rPr>
        <b/>
        <sz val="9"/>
        <rFont val="Calibri"/>
        <family val="2"/>
        <charset val="238"/>
        <scheme val="minor"/>
      </rPr>
      <t xml:space="preserve">Cena jednostkowa za gaz bez akcyzy
</t>
    </r>
    <r>
      <rPr>
        <sz val="9"/>
        <rFont val="Calibri"/>
        <family val="2"/>
        <charset val="238"/>
        <scheme val="minor"/>
      </rPr>
      <t xml:space="preserve">(gr/kWh)
</t>
    </r>
    <r>
      <rPr>
        <i/>
        <sz val="9"/>
        <rFont val="Calibri"/>
        <family val="2"/>
        <charset val="238"/>
        <scheme val="minor"/>
      </rPr>
      <t>(zaokrąglenie 
do 3 miejsc 
po przecinku)</t>
    </r>
  </si>
  <si>
    <r>
      <t xml:space="preserve">Cena jednostkowa za gaz z akcyzą 1,28 zł/GJ*
</t>
    </r>
    <r>
      <rPr>
        <sz val="9"/>
        <rFont val="Calibri"/>
        <family val="2"/>
        <charset val="238"/>
        <scheme val="minor"/>
      </rPr>
      <t>(gr/kWh)
(kol. 10 + 0,362)</t>
    </r>
  </si>
  <si>
    <r>
      <rPr>
        <b/>
        <sz val="9"/>
        <rFont val="Calibri"/>
        <family val="2"/>
        <charset val="238"/>
        <scheme val="minor"/>
      </rPr>
      <t>Łącznie</t>
    </r>
    <r>
      <rPr>
        <sz val="9"/>
        <rFont val="Calibri"/>
        <family val="2"/>
        <charset val="238"/>
        <scheme val="minor"/>
      </rPr>
      <t xml:space="preserve"> (zł)
(kol. 4 × kol. 10) /100 + (kol. 5 × kol. 11) /100 + (kol. 2 × kol. 7 × kol. 12)
</t>
    </r>
    <r>
      <rPr>
        <i/>
        <sz val="9"/>
        <rFont val="Calibri"/>
        <family val="2"/>
        <charset val="238"/>
        <scheme val="minor"/>
      </rPr>
      <t>(zaokrąglenie do 2 miejsc po przecinku)</t>
    </r>
  </si>
  <si>
    <r>
      <rPr>
        <b/>
        <sz val="9"/>
        <rFont val="Calibri"/>
        <family val="2"/>
        <charset val="238"/>
        <scheme val="minor"/>
      </rPr>
      <t xml:space="preserve">Stawka opłaty stałej </t>
    </r>
    <r>
      <rPr>
        <sz val="9"/>
        <rFont val="Calibri"/>
        <family val="2"/>
        <charset val="238"/>
        <scheme val="minor"/>
      </rPr>
      <t xml:space="preserve">
a) (zł/m-c) 
dla grup taryfowych z ozn. 
W-1, W-2, W-3, W-4
b) (gr/(kWh/h) za h) 
dla grup taryfowych z ozn. 
W-5, W-6, W-7</t>
    </r>
  </si>
  <si>
    <r>
      <rPr>
        <b/>
        <sz val="9"/>
        <rFont val="Calibri"/>
        <family val="2"/>
        <charset val="238"/>
        <scheme val="minor"/>
      </rPr>
      <t>Łącznie opłata stała</t>
    </r>
    <r>
      <rPr>
        <sz val="9"/>
        <rFont val="Calibri"/>
        <family val="2"/>
        <charset val="238"/>
        <scheme val="minor"/>
      </rPr>
      <t xml:space="preserve"> (zł)
a) (kol. 2 × kol. 7 × kol. 14) 
dla grup taryfowych z ozn.
W-1, W-2, W-3, W-4
b) (kol. 3 × kol. 8 × 24 h × kol. 14) /100 
dla grup taryfowych z ozn.
W-5, W-6, W-7
</t>
    </r>
    <r>
      <rPr>
        <i/>
        <sz val="9"/>
        <rFont val="Calibri"/>
        <family val="2"/>
        <charset val="238"/>
        <scheme val="minor"/>
      </rPr>
      <t xml:space="preserve">
(zaokrąglenie do 2 
miejsc po przecinku)</t>
    </r>
  </si>
  <si>
    <r>
      <t xml:space="preserve">Stawka opłaty zmiennej 
</t>
    </r>
    <r>
      <rPr>
        <sz val="9"/>
        <rFont val="Calibri"/>
        <family val="2"/>
        <charset val="238"/>
        <scheme val="minor"/>
      </rPr>
      <t>(gr/kWh)</t>
    </r>
  </si>
  <si>
    <r>
      <rPr>
        <b/>
        <sz val="9"/>
        <rFont val="Calibri"/>
        <family val="2"/>
        <charset val="238"/>
        <scheme val="minor"/>
      </rPr>
      <t>Łącznie opłata zmienna</t>
    </r>
    <r>
      <rPr>
        <sz val="9"/>
        <rFont val="Calibri"/>
        <family val="2"/>
        <charset val="238"/>
        <scheme val="minor"/>
      </rPr>
      <t xml:space="preserve"> (zł)
(kol. 6 × kol. 16) /100
</t>
    </r>
    <r>
      <rPr>
        <i/>
        <sz val="9"/>
        <rFont val="Calibri"/>
        <family val="2"/>
        <charset val="238"/>
        <scheme val="minor"/>
      </rPr>
      <t>(zaokrąglenie do 2 miejsc po przecinku)</t>
    </r>
  </si>
  <si>
    <r>
      <rPr>
        <b/>
        <sz val="9"/>
        <rFont val="Calibri"/>
        <family val="2"/>
        <charset val="238"/>
        <scheme val="minor"/>
      </rPr>
      <t>Łącznie usługi dystrybucyjne</t>
    </r>
    <r>
      <rPr>
        <sz val="9"/>
        <rFont val="Calibri"/>
        <family val="2"/>
        <charset val="238"/>
        <scheme val="minor"/>
      </rPr>
      <t xml:space="preserve"> (zł)
(kol. 15 + kol. 17)</t>
    </r>
  </si>
  <si>
    <t>(suma kol. 13 
+ kol. 18)</t>
  </si>
  <si>
    <r>
      <t xml:space="preserve">(kol. 19) + podatek VAT
</t>
    </r>
    <r>
      <rPr>
        <i/>
        <sz val="9"/>
        <rFont val="Calibri"/>
        <family val="2"/>
        <charset val="238"/>
        <scheme val="minor"/>
      </rPr>
      <t>(zaokrąglenie do 2 miejsc po przecinku)</t>
    </r>
  </si>
  <si>
    <t>nd.</t>
  </si>
  <si>
    <t>W-3.6</t>
  </si>
  <si>
    <t>W-4</t>
  </si>
  <si>
    <t>SUMA:</t>
  </si>
  <si>
    <r>
      <t xml:space="preserve">*Stawkę podatku akcyzowego 1,28 zł/GJ, która ma zastosowanie dla części zużycia paliwa gazowego przeznaczonej na cele opałowe (z wyłączeniem celów objętych zwolnieniem), przeliczono na gr/kWh zgodnie z obowiązującymi zasadami [Art. 89 ust. 1 pkt 13 oraz Art. 88 ust. 7 pkt 4 lit. a </t>
    </r>
    <r>
      <rPr>
        <i/>
        <sz val="12"/>
        <rFont val="Calibri"/>
        <family val="2"/>
        <charset val="238"/>
        <scheme val="minor"/>
      </rPr>
      <t>Ustawy o podatku akcyzowym</t>
    </r>
    <r>
      <rPr>
        <sz val="12"/>
        <rFont val="Calibri"/>
        <family val="2"/>
        <charset val="238"/>
        <scheme val="minor"/>
      </rPr>
      <t>] oraz przyjmując wartość ciepła spalania 39,5 MJ/m3.</t>
    </r>
  </si>
  <si>
    <r>
      <rPr>
        <b/>
        <sz val="9"/>
        <rFont val="Calibri"/>
        <family val="2"/>
        <charset val="238"/>
        <scheme val="minor"/>
      </rPr>
      <t>Abonament</t>
    </r>
    <r>
      <rPr>
        <sz val="9"/>
        <rFont val="Calibri"/>
        <family val="2"/>
        <charset val="238"/>
        <scheme val="minor"/>
      </rPr>
      <t xml:space="preserve">
(zł/m-c)
</t>
    </r>
    <r>
      <rPr>
        <i/>
        <sz val="9"/>
        <rFont val="Calibri"/>
        <family val="2"/>
        <charset val="238"/>
        <scheme val="minor"/>
      </rPr>
      <t>(zaokrąglenie do 2 miejsc po przecinku)</t>
    </r>
  </si>
  <si>
    <t>W-1.1</t>
  </si>
  <si>
    <t>PSG Sp. z o.o. - 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</si>
</sst>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4" fillId="0" borderId="0" xfId="1"/>
    <xf numFmtId="0" fontId="4" fillId="3" borderId="0" xfId="1" applyFont="1" applyFill="1"/>
    <xf numFmtId="0" fontId="4" fillId="0" borderId="1" xfId="1" applyBorder="1"/>
    <xf numFmtId="0" fontId="4" fillId="2" borderId="1" xfId="1" applyFill="1" applyBorder="1"/>
    <xf numFmtId="0" fontId="4" fillId="4" borderId="1" xfId="1" applyFont="1" applyFill="1" applyBorder="1" applyAlignment="1">
      <alignment vertical="center"/>
    </xf>
    <xf numFmtId="0" fontId="3" fillId="0" borderId="1" xfId="1" quotePrefix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Border="1" applyAlignment="1">
      <alignment wrapText="1"/>
    </xf>
    <xf numFmtId="0" fontId="2" fillId="4" borderId="1" xfId="1" applyFont="1" applyFill="1" applyBorder="1" applyAlignment="1">
      <alignment vertical="center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4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14" fontId="4" fillId="0" borderId="0" xfId="1" applyNumberFormat="1"/>
    <xf numFmtId="0" fontId="8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7" borderId="1" xfId="0" applyNumberFormat="1" applyFont="1" applyFill="1" applyBorder="1" applyAlignment="1" applyProtection="1">
      <alignment horizontal="center" vertical="center"/>
    </xf>
    <xf numFmtId="4" fontId="9" fillId="7" borderId="1" xfId="0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3" xr:uid="{00000000-0005-0000-0000-000003000000}"/>
    <cellStyle name="Normalny 5" xfId="4" xr:uid="{00000000-0005-0000-0000-000004000000}"/>
    <cellStyle name="Normalny 6" xfId="5" xr:uid="{00000000-0005-0000-0000-000005000000}"/>
  </cellStyles>
  <dxfs count="0"/>
  <tableStyles count="0" defaultTableStyle="TableStyleMedium9" defaultPivotStyle="PivotStyleLight16"/>
  <colors>
    <mruColors>
      <color rgb="FFF9FCD2"/>
      <color rgb="FFC4DE2A"/>
      <color rgb="FF39A1CF"/>
      <color rgb="FFD4344B"/>
      <color rgb="FFBFD731"/>
      <color rgb="FF33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opLeftCell="E1" workbookViewId="0">
      <pane ySplit="3" topLeftCell="A11" activePane="bottomLeft" state="frozen"/>
      <selection pane="bottomLeft" activeCell="G17" sqref="G17"/>
    </sheetView>
  </sheetViews>
  <sheetFormatPr defaultColWidth="9.109375" defaultRowHeight="13.2"/>
  <cols>
    <col min="1" max="1" width="11.109375" style="1" customWidth="1"/>
    <col min="2" max="2" width="18.88671875" style="1" bestFit="1" customWidth="1"/>
    <col min="3" max="3" width="26.33203125" style="1" customWidth="1"/>
    <col min="4" max="4" width="20.5546875" style="1" customWidth="1"/>
    <col min="5" max="5" width="25" style="1" customWidth="1"/>
    <col min="6" max="6" width="11.5546875" style="1" bestFit="1" customWidth="1"/>
    <col min="7" max="7" width="16.44140625" style="1" customWidth="1"/>
    <col min="8" max="8" width="20.33203125" style="1" customWidth="1"/>
    <col min="9" max="10" width="29.6640625" style="1" customWidth="1"/>
    <col min="11" max="11" width="22.6640625" style="1" customWidth="1"/>
    <col min="12" max="12" width="20.88671875" style="1" bestFit="1" customWidth="1"/>
    <col min="13" max="16384" width="9.109375" style="1"/>
  </cols>
  <sheetData>
    <row r="1" spans="1:12">
      <c r="B1" s="2" t="s">
        <v>0</v>
      </c>
    </row>
    <row r="3" spans="1:12">
      <c r="A3" s="3"/>
      <c r="B3" s="12" t="s">
        <v>1</v>
      </c>
      <c r="C3" s="13" t="s">
        <v>30</v>
      </c>
      <c r="D3" s="13" t="s">
        <v>31</v>
      </c>
      <c r="E3" s="13" t="s">
        <v>29</v>
      </c>
      <c r="F3" s="13" t="s">
        <v>28</v>
      </c>
      <c r="G3" s="13" t="s">
        <v>24</v>
      </c>
      <c r="H3" s="13" t="s">
        <v>47</v>
      </c>
      <c r="I3" s="13" t="s">
        <v>27</v>
      </c>
      <c r="J3" s="13" t="s">
        <v>44</v>
      </c>
      <c r="K3" s="13" t="s">
        <v>26</v>
      </c>
      <c r="L3" s="4" t="s">
        <v>13</v>
      </c>
    </row>
    <row r="4" spans="1:12" ht="40.799999999999997">
      <c r="A4" s="5" t="s">
        <v>2</v>
      </c>
      <c r="B4" s="6" t="s">
        <v>3</v>
      </c>
      <c r="C4" s="3"/>
      <c r="D4" s="3"/>
      <c r="E4" s="7" t="s">
        <v>4</v>
      </c>
      <c r="F4" s="7"/>
      <c r="G4" s="7"/>
      <c r="H4" s="7"/>
      <c r="I4" s="6" t="s">
        <v>7</v>
      </c>
      <c r="J4" s="6"/>
      <c r="K4" s="6"/>
      <c r="L4" s="7" t="s">
        <v>14</v>
      </c>
    </row>
    <row r="5" spans="1:12" ht="20.399999999999999">
      <c r="A5" s="5" t="s">
        <v>5</v>
      </c>
      <c r="B5" s="6" t="s">
        <v>6</v>
      </c>
      <c r="C5" s="8"/>
      <c r="D5" s="8"/>
      <c r="E5" s="8"/>
      <c r="F5" s="8"/>
      <c r="G5" s="8"/>
      <c r="H5" s="8"/>
      <c r="I5" s="7" t="s">
        <v>8</v>
      </c>
      <c r="J5" s="7"/>
      <c r="K5" s="7"/>
      <c r="L5" s="7" t="s">
        <v>14</v>
      </c>
    </row>
    <row r="6" spans="1:12" ht="20.399999999999999">
      <c r="A6" s="5" t="s">
        <v>9</v>
      </c>
      <c r="B6" s="8"/>
      <c r="C6" s="8"/>
      <c r="D6" s="8"/>
      <c r="E6" s="8"/>
      <c r="F6" s="8"/>
      <c r="G6" s="8"/>
      <c r="H6" s="8"/>
      <c r="I6" s="7" t="s">
        <v>10</v>
      </c>
      <c r="J6" s="7"/>
      <c r="K6" s="7"/>
      <c r="L6" s="7" t="s">
        <v>14</v>
      </c>
    </row>
    <row r="7" spans="1:12" ht="20.399999999999999">
      <c r="A7" s="5" t="s">
        <v>9</v>
      </c>
      <c r="B7" s="8"/>
      <c r="C7" s="8"/>
      <c r="D7" s="8"/>
      <c r="E7" s="8"/>
      <c r="F7" s="8"/>
      <c r="G7" s="8"/>
      <c r="H7" s="8"/>
      <c r="I7" s="7" t="s">
        <v>8</v>
      </c>
      <c r="J7" s="7"/>
      <c r="K7" s="7"/>
      <c r="L7" s="7" t="s">
        <v>14</v>
      </c>
    </row>
    <row r="8" spans="1:12" ht="20.399999999999999">
      <c r="A8" s="5" t="s">
        <v>11</v>
      </c>
      <c r="B8" s="8"/>
      <c r="C8" s="8"/>
      <c r="D8" s="8"/>
      <c r="E8" s="8"/>
      <c r="F8" s="8"/>
      <c r="G8" s="8"/>
      <c r="H8" s="8"/>
      <c r="I8" s="7" t="s">
        <v>12</v>
      </c>
      <c r="J8" s="7"/>
      <c r="K8" s="7"/>
      <c r="L8" s="7" t="s">
        <v>14</v>
      </c>
    </row>
    <row r="9" spans="1:12" ht="66">
      <c r="A9" s="9" t="s">
        <v>17</v>
      </c>
      <c r="B9" s="10"/>
      <c r="C9" s="10"/>
      <c r="D9" s="10"/>
      <c r="E9" s="10" t="s">
        <v>16</v>
      </c>
      <c r="F9" s="10"/>
      <c r="G9" s="10"/>
      <c r="H9" s="10"/>
      <c r="I9" s="10"/>
      <c r="J9" s="10"/>
      <c r="K9" s="10"/>
      <c r="L9" s="11" t="s">
        <v>15</v>
      </c>
    </row>
    <row r="10" spans="1:12">
      <c r="A10" s="9" t="s">
        <v>18</v>
      </c>
      <c r="B10" s="10"/>
      <c r="C10" s="10"/>
      <c r="D10" s="10"/>
      <c r="E10" s="10" t="s">
        <v>19</v>
      </c>
      <c r="F10" s="10"/>
      <c r="G10" s="10"/>
      <c r="H10" s="10"/>
      <c r="I10" s="10"/>
      <c r="J10" s="10"/>
      <c r="K10" s="10"/>
      <c r="L10" s="11" t="s">
        <v>20</v>
      </c>
    </row>
    <row r="11" spans="1:12" ht="26.4">
      <c r="A11" s="9" t="s">
        <v>21</v>
      </c>
      <c r="B11" s="10"/>
      <c r="C11" s="10"/>
      <c r="D11" s="10"/>
      <c r="E11" s="10"/>
      <c r="F11" s="10" t="s">
        <v>19</v>
      </c>
      <c r="G11" s="10"/>
      <c r="H11" s="10"/>
      <c r="I11" s="10"/>
      <c r="J11" s="10"/>
      <c r="K11" s="10"/>
      <c r="L11" s="11" t="s">
        <v>15</v>
      </c>
    </row>
    <row r="12" spans="1:12" ht="26.4">
      <c r="A12" s="9" t="s">
        <v>22</v>
      </c>
      <c r="B12" s="10"/>
      <c r="C12" s="10"/>
      <c r="D12" s="10"/>
      <c r="E12" s="10"/>
      <c r="F12" s="10"/>
      <c r="G12" s="10" t="s">
        <v>25</v>
      </c>
      <c r="H12" s="10" t="s">
        <v>36</v>
      </c>
      <c r="I12" s="10"/>
      <c r="J12" s="10"/>
      <c r="K12" s="10" t="s">
        <v>32</v>
      </c>
      <c r="L12" s="11" t="s">
        <v>23</v>
      </c>
    </row>
    <row r="13" spans="1:12" ht="39.6">
      <c r="A13" s="9" t="s">
        <v>37</v>
      </c>
      <c r="B13" s="10" t="s">
        <v>35</v>
      </c>
      <c r="C13" s="10"/>
      <c r="D13" s="10"/>
      <c r="E13" s="10"/>
      <c r="F13" s="10"/>
      <c r="G13" s="10"/>
      <c r="H13" s="10"/>
      <c r="I13" s="10"/>
      <c r="J13" s="10"/>
      <c r="K13" s="14"/>
      <c r="L13" s="11" t="s">
        <v>15</v>
      </c>
    </row>
    <row r="14" spans="1:12" ht="39.6">
      <c r="A14" s="9" t="s">
        <v>39</v>
      </c>
      <c r="B14" s="10"/>
      <c r="C14" s="14"/>
      <c r="D14" s="14"/>
      <c r="E14" s="10"/>
      <c r="F14" s="10"/>
      <c r="G14" s="10" t="s">
        <v>40</v>
      </c>
      <c r="H14" s="10"/>
      <c r="I14" s="10"/>
      <c r="J14" s="10"/>
      <c r="K14" s="14"/>
      <c r="L14" s="11" t="s">
        <v>15</v>
      </c>
    </row>
    <row r="15" spans="1:12" ht="26.4">
      <c r="A15" s="9" t="s">
        <v>43</v>
      </c>
      <c r="B15" s="10"/>
      <c r="C15" s="10" t="s">
        <v>38</v>
      </c>
      <c r="D15" s="10" t="s">
        <v>38</v>
      </c>
      <c r="E15" s="10"/>
      <c r="F15" s="10"/>
      <c r="G15" s="14"/>
      <c r="H15" s="10" t="s">
        <v>41</v>
      </c>
      <c r="I15" s="10" t="s">
        <v>45</v>
      </c>
      <c r="J15" s="16" t="s">
        <v>46</v>
      </c>
      <c r="K15" s="10" t="s">
        <v>33</v>
      </c>
      <c r="L15" s="11" t="s">
        <v>15</v>
      </c>
    </row>
    <row r="16" spans="1:12" ht="39.6">
      <c r="A16" s="9" t="s">
        <v>34</v>
      </c>
      <c r="B16" s="10"/>
      <c r="C16" s="14"/>
      <c r="D16" s="10"/>
      <c r="E16" s="10"/>
      <c r="F16" s="10"/>
      <c r="G16" s="14" t="s">
        <v>42</v>
      </c>
      <c r="H16" s="14"/>
      <c r="I16" s="14"/>
      <c r="J16" s="15"/>
      <c r="K16" s="14"/>
      <c r="L16" s="11" t="s">
        <v>15</v>
      </c>
    </row>
    <row r="17" spans="1:1">
      <c r="A17" s="17">
        <v>41886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5"/>
  <sheetViews>
    <sheetView tabSelected="1" topLeftCell="E1" zoomScale="85" zoomScaleNormal="85" workbookViewId="0">
      <selection activeCell="N9" sqref="N9"/>
    </sheetView>
  </sheetViews>
  <sheetFormatPr defaultRowHeight="13.2"/>
  <cols>
    <col min="1" max="1" width="7.33203125" style="26" customWidth="1"/>
    <col min="2" max="2" width="7.44140625" style="26" customWidth="1"/>
    <col min="3" max="3" width="7.109375" style="26" customWidth="1"/>
    <col min="4" max="5" width="14.109375" style="26" customWidth="1"/>
    <col min="6" max="6" width="13.33203125" style="26" customWidth="1"/>
    <col min="7" max="7" width="7.109375" style="26" customWidth="1"/>
    <col min="8" max="8" width="6.44140625" style="26" customWidth="1"/>
    <col min="9" max="9" width="19.33203125" style="26" bestFit="1" customWidth="1"/>
    <col min="10" max="12" width="12.33203125" style="26" customWidth="1"/>
    <col min="13" max="13" width="15.6640625" style="26" customWidth="1"/>
    <col min="14" max="14" width="20" style="26" customWidth="1"/>
    <col min="15" max="15" width="18.88671875" style="26" customWidth="1"/>
    <col min="16" max="16" width="12.109375" style="26" customWidth="1"/>
    <col min="17" max="17" width="15.33203125" style="26" customWidth="1"/>
    <col min="18" max="18" width="13.33203125" style="26" customWidth="1"/>
    <col min="19" max="19" width="12.33203125" style="26" customWidth="1"/>
    <col min="20" max="20" width="11" style="26" customWidth="1"/>
    <col min="24" max="24" width="9.88671875" bestFit="1" customWidth="1"/>
  </cols>
  <sheetData>
    <row r="1" spans="1:20" ht="15.75" customHeight="1">
      <c r="A1" s="39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1"/>
    </row>
    <row r="2" spans="1:20" ht="24" customHeight="1">
      <c r="A2" s="42" t="s">
        <v>49</v>
      </c>
      <c r="B2" s="42" t="s">
        <v>50</v>
      </c>
      <c r="C2" s="42" t="s">
        <v>51</v>
      </c>
      <c r="D2" s="44" t="s">
        <v>52</v>
      </c>
      <c r="E2" s="44" t="s">
        <v>53</v>
      </c>
      <c r="F2" s="44" t="s">
        <v>54</v>
      </c>
      <c r="G2" s="42" t="s">
        <v>55</v>
      </c>
      <c r="H2" s="42" t="s">
        <v>56</v>
      </c>
      <c r="I2" s="42" t="s">
        <v>57</v>
      </c>
      <c r="J2" s="36" t="s">
        <v>58</v>
      </c>
      <c r="K2" s="37"/>
      <c r="L2" s="37"/>
      <c r="M2" s="38"/>
      <c r="N2" s="36" t="s">
        <v>59</v>
      </c>
      <c r="O2" s="37"/>
      <c r="P2" s="37"/>
      <c r="Q2" s="37"/>
      <c r="R2" s="38"/>
      <c r="S2" s="18" t="s">
        <v>60</v>
      </c>
      <c r="T2" s="18" t="s">
        <v>61</v>
      </c>
    </row>
    <row r="3" spans="1:20" ht="153" customHeight="1">
      <c r="A3" s="43"/>
      <c r="B3" s="43"/>
      <c r="C3" s="43"/>
      <c r="D3" s="45"/>
      <c r="E3" s="45"/>
      <c r="F3" s="45"/>
      <c r="G3" s="43"/>
      <c r="H3" s="43"/>
      <c r="I3" s="43"/>
      <c r="J3" s="30" t="s">
        <v>62</v>
      </c>
      <c r="K3" s="29" t="s">
        <v>63</v>
      </c>
      <c r="L3" s="30" t="s">
        <v>77</v>
      </c>
      <c r="M3" s="30" t="s">
        <v>64</v>
      </c>
      <c r="N3" s="30" t="s">
        <v>65</v>
      </c>
      <c r="O3" s="30" t="s">
        <v>66</v>
      </c>
      <c r="P3" s="29" t="s">
        <v>67</v>
      </c>
      <c r="Q3" s="30" t="s">
        <v>68</v>
      </c>
      <c r="R3" s="30" t="s">
        <v>69</v>
      </c>
      <c r="S3" s="30" t="s">
        <v>70</v>
      </c>
      <c r="T3" s="30" t="s">
        <v>71</v>
      </c>
    </row>
    <row r="4" spans="1:20" ht="12.75" customHeight="1">
      <c r="A4" s="19" t="str">
        <f>"-1-"</f>
        <v>-1-</v>
      </c>
      <c r="B4" s="19" t="str">
        <f>"-2-"</f>
        <v>-2-</v>
      </c>
      <c r="C4" s="19" t="str">
        <f>"-3-"</f>
        <v>-3-</v>
      </c>
      <c r="D4" s="19" t="str">
        <f>"-4-"</f>
        <v>-4-</v>
      </c>
      <c r="E4" s="19" t="str">
        <f>"-5-"</f>
        <v>-5-</v>
      </c>
      <c r="F4" s="19" t="str">
        <f>"-6-"</f>
        <v>-6-</v>
      </c>
      <c r="G4" s="19" t="str">
        <f>"-7-"</f>
        <v>-7-</v>
      </c>
      <c r="H4" s="19" t="str">
        <f>"-8-"</f>
        <v>-8-</v>
      </c>
      <c r="I4" s="19" t="str">
        <f>"-9-"</f>
        <v>-9-</v>
      </c>
      <c r="J4" s="19" t="str">
        <f>"-10-"</f>
        <v>-10-</v>
      </c>
      <c r="K4" s="19" t="str">
        <f>"-11-"</f>
        <v>-11-</v>
      </c>
      <c r="L4" s="19" t="str">
        <f>"-12-"</f>
        <v>-12-</v>
      </c>
      <c r="M4" s="19" t="str">
        <f>"-13-"</f>
        <v>-13-</v>
      </c>
      <c r="N4" s="19" t="str">
        <f>"-14-"</f>
        <v>-14-</v>
      </c>
      <c r="O4" s="19" t="str">
        <f>"-15-"</f>
        <v>-15-</v>
      </c>
      <c r="P4" s="19" t="str">
        <f>"-16-"</f>
        <v>-16-</v>
      </c>
      <c r="Q4" s="19" t="str">
        <f>"-17-"</f>
        <v>-17-</v>
      </c>
      <c r="R4" s="19" t="str">
        <f>"-18-"</f>
        <v>-18-</v>
      </c>
      <c r="S4" s="19" t="str">
        <f>"-19-"</f>
        <v>-19-</v>
      </c>
      <c r="T4" s="19" t="str">
        <f>"-20-"</f>
        <v>-20-</v>
      </c>
    </row>
    <row r="5" spans="1:20" ht="28.8" customHeight="1">
      <c r="A5" s="20" t="s">
        <v>78</v>
      </c>
      <c r="B5" s="20">
        <v>1</v>
      </c>
      <c r="C5" s="21" t="s">
        <v>72</v>
      </c>
      <c r="D5" s="22">
        <v>0</v>
      </c>
      <c r="E5" s="22">
        <v>0</v>
      </c>
      <c r="F5" s="22">
        <v>0</v>
      </c>
      <c r="G5" s="22">
        <v>24</v>
      </c>
      <c r="H5" s="22" t="s">
        <v>72</v>
      </c>
      <c r="I5" s="23" t="s">
        <v>79</v>
      </c>
      <c r="J5" s="31"/>
      <c r="K5" s="24" t="str">
        <f>IF(ROUND(J5,3)=0,"",ROUND(J5,3)+0.362)</f>
        <v/>
      </c>
      <c r="L5" s="32"/>
      <c r="M5" s="25" t="str">
        <f>IF(ROUND(J5,3)&gt;0,ROUND(D5*ROUND(J5,3)/100+E5*K5/100+ROUND(L5,2)*G5*B5,2),"")</f>
        <v/>
      </c>
      <c r="N5" s="24">
        <v>3.52</v>
      </c>
      <c r="O5" s="25">
        <f>ROUND(IF(C5="nd.",B5*N5*G5,(H5*24*C5*N5)/100),2)</f>
        <v>84.48</v>
      </c>
      <c r="P5" s="24">
        <v>4.1619999999999999</v>
      </c>
      <c r="Q5" s="25">
        <f t="shared" ref="Q5:Q7" si="0">ROUND(P5*F5/100,2)</f>
        <v>0</v>
      </c>
      <c r="R5" s="25">
        <f>O5+Q5</f>
        <v>84.48</v>
      </c>
      <c r="S5" s="25" t="str">
        <f>IF(J5&gt;0,M5+R5,"")</f>
        <v/>
      </c>
      <c r="T5" s="25" t="str">
        <f>IF(J5&gt;0,ROUND(S5*1.23,2),"")</f>
        <v/>
      </c>
    </row>
    <row r="6" spans="1:20" ht="28.8" customHeight="1">
      <c r="A6" s="20" t="s">
        <v>73</v>
      </c>
      <c r="B6" s="20">
        <v>5</v>
      </c>
      <c r="C6" s="21" t="s">
        <v>72</v>
      </c>
      <c r="D6" s="22">
        <v>34980</v>
      </c>
      <c r="E6" s="22">
        <v>331538</v>
      </c>
      <c r="F6" s="22">
        <v>366518</v>
      </c>
      <c r="G6" s="22">
        <v>24</v>
      </c>
      <c r="H6" s="22" t="s">
        <v>72</v>
      </c>
      <c r="I6" s="23" t="s">
        <v>79</v>
      </c>
      <c r="J6" s="31"/>
      <c r="K6" s="24" t="str">
        <f t="shared" ref="K6:K7" si="1">IF(ROUND(J6,3)=0,"",ROUND(J6,3)+0.362)</f>
        <v/>
      </c>
      <c r="L6" s="32"/>
      <c r="M6" s="25" t="str">
        <f t="shared" ref="M6:M7" si="2">IF(ROUND(J6,3)&gt;0,ROUND(D6*ROUND(J6,3)/100+E6*K6/100+ROUND(L6,2)*G6*B6,2),"")</f>
        <v/>
      </c>
      <c r="N6" s="24">
        <v>37.15</v>
      </c>
      <c r="O6" s="25">
        <f t="shared" ref="O6:O7" si="3">ROUND(IF(C6="nd.",B6*N6*G6,(H6*24*C6*N6)/100),2)</f>
        <v>4458</v>
      </c>
      <c r="P6" s="24">
        <v>2.3079999999999998</v>
      </c>
      <c r="Q6" s="25">
        <f t="shared" si="0"/>
        <v>8459.24</v>
      </c>
      <c r="R6" s="25">
        <f t="shared" ref="R6:R7" si="4">O6+Q6</f>
        <v>12917.24</v>
      </c>
      <c r="S6" s="25" t="str">
        <f t="shared" ref="S6:S7" si="5">IF(J6&gt;0,M6+R6,"")</f>
        <v/>
      </c>
      <c r="T6" s="25" t="str">
        <f t="shared" ref="T6:T7" si="6">IF(J6&gt;0,ROUND(S6*1.23,2),"")</f>
        <v/>
      </c>
    </row>
    <row r="7" spans="1:20" ht="28.8" customHeight="1">
      <c r="A7" s="20" t="s">
        <v>74</v>
      </c>
      <c r="B7" s="20">
        <v>2</v>
      </c>
      <c r="C7" s="21" t="s">
        <v>72</v>
      </c>
      <c r="D7" s="22">
        <v>323352</v>
      </c>
      <c r="E7" s="22">
        <v>239640</v>
      </c>
      <c r="F7" s="22">
        <v>562992</v>
      </c>
      <c r="G7" s="22">
        <v>24</v>
      </c>
      <c r="H7" s="22" t="s">
        <v>72</v>
      </c>
      <c r="I7" s="23" t="s">
        <v>79</v>
      </c>
      <c r="J7" s="31"/>
      <c r="K7" s="24" t="str">
        <f t="shared" si="1"/>
        <v/>
      </c>
      <c r="L7" s="32"/>
      <c r="M7" s="25" t="str">
        <f t="shared" si="2"/>
        <v/>
      </c>
      <c r="N7" s="24">
        <v>206.2</v>
      </c>
      <c r="O7" s="25">
        <f t="shared" si="3"/>
        <v>9897.6</v>
      </c>
      <c r="P7" s="24">
        <v>2.278</v>
      </c>
      <c r="Q7" s="25">
        <f t="shared" si="0"/>
        <v>12824.96</v>
      </c>
      <c r="R7" s="25">
        <f t="shared" si="4"/>
        <v>22722.559999999998</v>
      </c>
      <c r="S7" s="25" t="str">
        <f t="shared" si="5"/>
        <v/>
      </c>
      <c r="T7" s="25" t="str">
        <f t="shared" si="6"/>
        <v/>
      </c>
    </row>
    <row r="8" spans="1:20" ht="31.2" customHeight="1">
      <c r="R8" s="28" t="s">
        <v>75</v>
      </c>
      <c r="S8" s="25" t="str">
        <f>IF(SUM(S5:S7)=0,"",SUM(S5:S7))</f>
        <v/>
      </c>
      <c r="T8" s="25" t="str">
        <f>IF(SUM(T5:T7)=0,"",SUM(T5:T7))</f>
        <v/>
      </c>
    </row>
    <row r="9" spans="1:20" ht="64.2" customHeight="1">
      <c r="A9" s="33" t="s">
        <v>76</v>
      </c>
      <c r="B9" s="34"/>
      <c r="C9" s="34"/>
      <c r="D9" s="34"/>
      <c r="E9" s="34"/>
      <c r="F9" s="34"/>
      <c r="G9" s="34"/>
      <c r="H9" s="34"/>
      <c r="I9" s="35"/>
    </row>
    <row r="10" spans="1:20" ht="84" customHeight="1"/>
    <row r="25" spans="10:10">
      <c r="J25" s="27"/>
    </row>
  </sheetData>
  <sheetProtection algorithmName="SHA-512" hashValue="/bc8uXKTdhG6Qo5cOg6pDThoDo4dM5J6QEokpZT6eYvlhpvlrnoHkYfgOawa1vs3VbjYOkb+IL5OVayVHYYAsQ==" saltValue="36t8NenbsuLt8fpjjdtRcA==" spinCount="100000" sheet="1" objects="1" scenarios="1"/>
  <protectedRanges>
    <protectedRange sqref="L5:L7" name="Rozstęp2"/>
    <protectedRange sqref="J5:J7" name="Rozstęp1"/>
  </protectedRanges>
  <mergeCells count="13">
    <mergeCell ref="A9:I9"/>
    <mergeCell ref="J2:M2"/>
    <mergeCell ref="N2:R2"/>
    <mergeCell ref="A1:T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5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Zmiany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User4</cp:lastModifiedBy>
  <cp:lastPrinted>2018-07-30T11:48:44Z</cp:lastPrinted>
  <dcterms:created xsi:type="dcterms:W3CDTF">2010-01-11T11:46:38Z</dcterms:created>
  <dcterms:modified xsi:type="dcterms:W3CDTF">2018-07-30T11:48:58Z</dcterms:modified>
</cp:coreProperties>
</file>